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venue Cycle\Chargemaster\Rehab price transparency\2024\"/>
    </mc:Choice>
  </mc:AlternateContent>
  <xr:revisionPtr revIDLastSave="0" documentId="8_{9349B91C-A1AD-4577-BF2D-0709CA429258}" xr6:coauthVersionLast="47" xr6:coauthVersionMax="47" xr10:uidLastSave="{00000000-0000-0000-0000-000000000000}"/>
  <bookViews>
    <workbookView xWindow="-120" yWindow="-120" windowWidth="29040" windowHeight="15840" xr2:uid="{C2D466CF-413B-4B7C-94A1-E54A4F004C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7" i="1"/>
  <c r="G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8" i="1"/>
  <c r="F7" i="1"/>
  <c r="F6" i="1"/>
  <c r="E15" i="1"/>
  <c r="E16" i="1"/>
  <c r="E17" i="1"/>
  <c r="E18" i="1"/>
  <c r="E19" i="1"/>
  <c r="E20" i="1"/>
  <c r="E21" i="1"/>
  <c r="E22" i="1"/>
  <c r="E23" i="1"/>
  <c r="E24" i="1"/>
  <c r="E25" i="1"/>
  <c r="E26" i="1"/>
  <c r="E7" i="1"/>
  <c r="E8" i="1"/>
  <c r="E9" i="1"/>
  <c r="E10" i="1"/>
  <c r="E11" i="1"/>
  <c r="E12" i="1"/>
  <c r="E13" i="1"/>
  <c r="E14" i="1"/>
  <c r="E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6" i="1"/>
  <c r="V7" i="1"/>
  <c r="V8" i="1"/>
  <c r="V9" i="1"/>
  <c r="V10" i="1"/>
  <c r="V11" i="1"/>
  <c r="V12" i="1"/>
  <c r="V13" i="1"/>
  <c r="V14" i="1"/>
  <c r="V19" i="1"/>
  <c r="V20" i="1"/>
  <c r="V23" i="1"/>
  <c r="V25" i="1"/>
  <c r="Q7" i="1"/>
  <c r="Q8" i="1"/>
  <c r="Q9" i="1"/>
  <c r="Q10" i="1"/>
  <c r="Q11" i="1"/>
  <c r="Q12" i="1"/>
  <c r="Q13" i="1"/>
  <c r="Q14" i="1"/>
  <c r="Q19" i="1"/>
  <c r="Q20" i="1"/>
  <c r="Q23" i="1"/>
  <c r="Q25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6" i="1"/>
  <c r="J25" i="1"/>
  <c r="K25" i="1"/>
  <c r="N25" i="1"/>
  <c r="O25" i="1"/>
  <c r="P25" i="1"/>
  <c r="R25" i="1"/>
  <c r="W25" i="1"/>
  <c r="V6" i="1"/>
  <c r="Q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6" i="1"/>
  <c r="W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6" i="1"/>
  <c r="R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6" i="1"/>
  <c r="P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6" i="1"/>
  <c r="O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6" i="1"/>
  <c r="N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6" i="1"/>
</calcChain>
</file>

<file path=xl/sharedStrings.xml><?xml version="1.0" encoding="utf-8"?>
<sst xmlns="http://schemas.openxmlformats.org/spreadsheetml/2006/main" count="127" uniqueCount="100">
  <si>
    <t>Conway Regional Rehabilitation Hospital</t>
  </si>
  <si>
    <t>Allowable Range per Insurance</t>
  </si>
  <si>
    <t>Commercial Insurances</t>
  </si>
  <si>
    <t>Medicare Advantage Plans</t>
  </si>
  <si>
    <t>CMG Severity Levels</t>
  </si>
  <si>
    <t xml:space="preserve"> Gross charges</t>
  </si>
  <si>
    <t>Discounted cash price</t>
  </si>
  <si>
    <t>Negotiated Minimum</t>
  </si>
  <si>
    <t>Negotiated Maximum</t>
  </si>
  <si>
    <t>Medicare Part A &amp; B</t>
  </si>
  <si>
    <t>Medicaid</t>
  </si>
  <si>
    <t>Aetna</t>
  </si>
  <si>
    <t>Arkansas Total Care</t>
  </si>
  <si>
    <t>Blue Cross of Arkansas</t>
  </si>
  <si>
    <t>Cigna</t>
  </si>
  <si>
    <t>Employee Health Choice</t>
  </si>
  <si>
    <t>Municipal Health Benefit</t>
  </si>
  <si>
    <t>Qual Choice</t>
  </si>
  <si>
    <t>Union Pacific</t>
  </si>
  <si>
    <t>Aetna Medicare Adv</t>
  </si>
  <si>
    <t>Allwell Medicare Adv</t>
  </si>
  <si>
    <t>Cigna Healthsprings/Tribute</t>
  </si>
  <si>
    <t>Humana Medicare</t>
  </si>
  <si>
    <t>Medipak Medicare Adv</t>
  </si>
  <si>
    <t>United Health Medicare Adv</t>
  </si>
  <si>
    <t>$850 per day</t>
  </si>
  <si>
    <t>$791 per day</t>
  </si>
  <si>
    <t>$830 per day</t>
  </si>
  <si>
    <t>$1,299 per day</t>
  </si>
  <si>
    <t>$1,000 per day</t>
  </si>
  <si>
    <t>$1,265 per day</t>
  </si>
  <si>
    <t>Stroke</t>
  </si>
  <si>
    <t>Traumatic Brain Injury</t>
  </si>
  <si>
    <t>Non-Traumatic Brain Injury</t>
  </si>
  <si>
    <t>Traumatic Spinal Cord Injury</t>
  </si>
  <si>
    <t>Non-Traumatic Spinal Cord Injury</t>
  </si>
  <si>
    <t>Neurological</t>
  </si>
  <si>
    <t>Fracture Lower Extremity</t>
  </si>
  <si>
    <t>Replacement Lower Extremit</t>
  </si>
  <si>
    <t>Orthopedic</t>
  </si>
  <si>
    <t>Amputation Lower Extremity</t>
  </si>
  <si>
    <t>Amputation Non-Lower Extremity</t>
  </si>
  <si>
    <t>Osteo Arthritis</t>
  </si>
  <si>
    <t>Rheumatoid Arthritis</t>
  </si>
  <si>
    <t>Cardiac</t>
  </si>
  <si>
    <t>Pulmonary</t>
  </si>
  <si>
    <t>Pain</t>
  </si>
  <si>
    <t>Major Multiple Trauma,Non-Brain Spinal Cord Injury</t>
  </si>
  <si>
    <t>Major Multiple Trauma w/Brain &amp; Spinal Cord Injury</t>
  </si>
  <si>
    <t>Guillain-Barre Syndrome</t>
  </si>
  <si>
    <t>Gross charges definition</t>
  </si>
  <si>
    <t>Actual hospital charges, not the negotiated allowable amount an insurance company would reimburse.  Does not include any discounts such as self pay.</t>
  </si>
  <si>
    <t>Negotiated min-max definition</t>
  </si>
  <si>
    <t>The lowest to highest allowable amount negotiated with all insurance companies.</t>
  </si>
  <si>
    <t>The hospital charge for patients that do not have insurance (self-pay).  This does not include any financial assistance.  That is separate and must be applied for and approved.</t>
  </si>
  <si>
    <t>Allowable amount definition</t>
  </si>
  <si>
    <t xml:space="preserve">The amount insurance will pay the hospital less deductible, copay, and coinsurance.  </t>
  </si>
  <si>
    <t>201-205</t>
  </si>
  <si>
    <t>301-305</t>
  </si>
  <si>
    <t>401-407</t>
  </si>
  <si>
    <t>501-505</t>
  </si>
  <si>
    <t>601-604</t>
  </si>
  <si>
    <t>701-704</t>
  </si>
  <si>
    <t>801-805</t>
  </si>
  <si>
    <t>901-904</t>
  </si>
  <si>
    <t>1001-1004</t>
  </si>
  <si>
    <t>1101-1103</t>
  </si>
  <si>
    <t>1201-1204</t>
  </si>
  <si>
    <t>1301-1305</t>
  </si>
  <si>
    <t>1401-1404</t>
  </si>
  <si>
    <t>1501-1504</t>
  </si>
  <si>
    <t>1601-1604</t>
  </si>
  <si>
    <t>1701-1705</t>
  </si>
  <si>
    <t>1801-1806</t>
  </si>
  <si>
    <t>1901-1904</t>
  </si>
  <si>
    <t>Burns</t>
  </si>
  <si>
    <t>Average Length of Stay in days</t>
  </si>
  <si>
    <t>101-106</t>
  </si>
  <si>
    <t>103% MCR</t>
  </si>
  <si>
    <t>100% MCR</t>
  </si>
  <si>
    <t>80% of BC</t>
  </si>
  <si>
    <t>85% of BC</t>
  </si>
  <si>
    <t>Misc</t>
  </si>
  <si>
    <t>2001-2005</t>
  </si>
  <si>
    <t>N/A</t>
  </si>
  <si>
    <t>2101-2102, 5001, 5101-5104</t>
  </si>
  <si>
    <t>$989 per day</t>
  </si>
  <si>
    <t>$1,227 per day/@day 26 add $613.50</t>
  </si>
  <si>
    <t>$1,155 per day</t>
  </si>
  <si>
    <t>$1,210 per day</t>
  </si>
  <si>
    <t>$1,023 per day</t>
  </si>
  <si>
    <t>$1,582 per day</t>
  </si>
  <si>
    <t>updated 01-01-2024</t>
  </si>
  <si>
    <t>Anthem/ HealthLink</t>
  </si>
  <si>
    <t>United Healthcare</t>
  </si>
  <si>
    <t>Mercy/ Coventry</t>
  </si>
  <si>
    <t>CoreSource/ Trustmark</t>
  </si>
  <si>
    <t>Ambetter/ Centene</t>
  </si>
  <si>
    <t xml:space="preserve">Discounted cash price </t>
  </si>
  <si>
    <t>$1,500 per day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</si>
</sst>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/>
    <xf numFmtId="4" fontId="4" fillId="3" borderId="0" xfId="0" applyNumberFormat="1" applyFont="1" applyFill="1" applyAlignment="1">
      <alignment horizontal="left"/>
    </xf>
    <xf numFmtId="4" fontId="4" fillId="3" borderId="0" xfId="0" applyNumberFormat="1" applyFont="1" applyFill="1" applyAlignment="1">
      <alignment horizontal="center"/>
    </xf>
    <xf numFmtId="4" fontId="4" fillId="3" borderId="0" xfId="0" applyNumberFormat="1" applyFont="1" applyFill="1"/>
    <xf numFmtId="0" fontId="0" fillId="5" borderId="0" xfId="0" applyFill="1"/>
    <xf numFmtId="0" fontId="0" fillId="7" borderId="0" xfId="0" applyFill="1"/>
    <xf numFmtId="0" fontId="0" fillId="6" borderId="0" xfId="0" applyFill="1"/>
    <xf numFmtId="0" fontId="0" fillId="2" borderId="0" xfId="0" applyFill="1"/>
    <xf numFmtId="0" fontId="0" fillId="0" borderId="0" xfId="0" applyFill="1" applyAlignment="1">
      <alignment horizontal="center"/>
    </xf>
    <xf numFmtId="165" fontId="0" fillId="0" borderId="0" xfId="1" applyNumberFormat="1" applyFont="1"/>
    <xf numFmtId="4" fontId="4" fillId="4" borderId="0" xfId="0" applyNumberFormat="1" applyFont="1" applyFill="1" applyAlignment="1"/>
    <xf numFmtId="0" fontId="0" fillId="0" borderId="0" xfId="0" applyFill="1"/>
    <xf numFmtId="44" fontId="0" fillId="0" borderId="0" xfId="1" applyFont="1" applyFill="1"/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/>
    <xf numFmtId="165" fontId="0" fillId="0" borderId="0" xfId="0" applyNumberFormat="1" applyFill="1"/>
    <xf numFmtId="165" fontId="0" fillId="0" borderId="0" xfId="1" applyNumberFormat="1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7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5" borderId="0" xfId="0" applyFill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6" fontId="0" fillId="0" borderId="0" xfId="0" applyNumberFormat="1" applyAlignment="1">
      <alignment horizontal="center" wrapText="1"/>
    </xf>
    <xf numFmtId="9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 wrapText="1"/>
    </xf>
    <xf numFmtId="44" fontId="0" fillId="0" borderId="0" xfId="0" applyNumberFormat="1"/>
    <xf numFmtId="164" fontId="0" fillId="0" borderId="0" xfId="0" applyNumberFormat="1" applyFill="1" applyAlignment="1">
      <alignment horizontal="center" wrapText="1"/>
    </xf>
    <xf numFmtId="165" fontId="5" fillId="0" borderId="0" xfId="1" applyNumberFormat="1" applyFont="1" applyFill="1"/>
    <xf numFmtId="165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/>
    <xf numFmtId="165" fontId="5" fillId="0" borderId="0" xfId="1" applyNumberFormat="1" applyFont="1" applyFill="1" applyAlignment="1">
      <alignment horizontal="left"/>
    </xf>
    <xf numFmtId="0" fontId="2" fillId="0" borderId="0" xfId="0" applyFont="1" applyAlignment="1"/>
    <xf numFmtId="0" fontId="0" fillId="0" borderId="0" xfId="0" applyAlignment="1"/>
    <xf numFmtId="4" fontId="4" fillId="2" borderId="0" xfId="0" applyNumberFormat="1" applyFont="1" applyFill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260E-CB6A-40DA-910C-ECBF58ED63DE}">
  <dimension ref="A1:AD32"/>
  <sheetViews>
    <sheetView tabSelected="1" zoomScale="130" zoomScaleNormal="130" workbookViewId="0">
      <selection activeCell="I3" sqref="I3"/>
    </sheetView>
  </sheetViews>
  <sheetFormatPr defaultRowHeight="15" x14ac:dyDescent="0.25"/>
  <cols>
    <col min="1" max="1" width="45.42578125" customWidth="1"/>
    <col min="2" max="2" width="17.7109375" customWidth="1"/>
    <col min="3" max="3" width="14" customWidth="1"/>
    <col min="4" max="4" width="12.28515625" bestFit="1" customWidth="1"/>
    <col min="5" max="5" width="16.42578125" customWidth="1"/>
    <col min="6" max="6" width="11.28515625" customWidth="1"/>
    <col min="7" max="7" width="11" customWidth="1"/>
    <col min="8" max="8" width="18" customWidth="1"/>
    <col min="9" max="9" width="15.5703125" customWidth="1"/>
    <col min="10" max="28" width="13.140625" customWidth="1"/>
    <col min="29" max="30" width="9.42578125" bestFit="1" customWidth="1"/>
  </cols>
  <sheetData>
    <row r="1" spans="1:30" ht="28.5" customHeight="1" x14ac:dyDescent="0.4">
      <c r="A1" s="43" t="s">
        <v>0</v>
      </c>
      <c r="B1" s="43"/>
      <c r="C1" s="43"/>
      <c r="D1" s="4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3"/>
      <c r="X1" s="3"/>
      <c r="Y1" s="3"/>
      <c r="Z1" s="3"/>
      <c r="AA1" s="3"/>
      <c r="AB1" s="3"/>
    </row>
    <row r="2" spans="1:30" ht="28.5" x14ac:dyDescent="0.45">
      <c r="A2" s="40"/>
      <c r="B2" s="40"/>
      <c r="C2" s="1"/>
      <c r="D2" s="2"/>
      <c r="E2" s="2"/>
      <c r="F2" s="2"/>
      <c r="G2" s="2"/>
      <c r="H2" s="4" t="s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2"/>
      <c r="V2" s="42"/>
      <c r="W2" s="4"/>
      <c r="X2" s="4"/>
      <c r="Y2" s="5"/>
      <c r="Z2" s="5"/>
      <c r="AA2" s="5"/>
      <c r="AB2" s="5"/>
    </row>
    <row r="3" spans="1:30" ht="18.75" x14ac:dyDescent="0.3">
      <c r="A3" t="s">
        <v>92</v>
      </c>
      <c r="B3" s="2"/>
      <c r="C3" s="23"/>
      <c r="D3" s="2"/>
      <c r="E3" s="2"/>
      <c r="F3" s="2"/>
      <c r="G3" s="2"/>
      <c r="H3" s="3"/>
      <c r="I3" s="3"/>
      <c r="J3" s="6" t="s">
        <v>2</v>
      </c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15" t="s">
        <v>3</v>
      </c>
      <c r="X3" s="15"/>
      <c r="Y3" s="15"/>
      <c r="Z3" s="15"/>
      <c r="AA3" s="15"/>
      <c r="AB3" s="15"/>
    </row>
    <row r="4" spans="1:30" ht="60" x14ac:dyDescent="0.25">
      <c r="A4" s="24"/>
      <c r="B4" s="23" t="s">
        <v>4</v>
      </c>
      <c r="C4" s="24" t="s">
        <v>76</v>
      </c>
      <c r="D4" s="27" t="s">
        <v>5</v>
      </c>
      <c r="E4" s="26" t="s">
        <v>98</v>
      </c>
      <c r="F4" s="25" t="s">
        <v>7</v>
      </c>
      <c r="G4" s="25" t="s">
        <v>8</v>
      </c>
      <c r="H4" s="28" t="s">
        <v>9</v>
      </c>
      <c r="I4" s="28" t="s">
        <v>10</v>
      </c>
      <c r="J4" s="30" t="s">
        <v>11</v>
      </c>
      <c r="K4" s="29" t="s">
        <v>97</v>
      </c>
      <c r="L4" s="30" t="s">
        <v>93</v>
      </c>
      <c r="M4" s="29" t="s">
        <v>12</v>
      </c>
      <c r="N4" s="30" t="s">
        <v>13</v>
      </c>
      <c r="O4" s="29" t="s">
        <v>14</v>
      </c>
      <c r="P4" s="30" t="s">
        <v>96</v>
      </c>
      <c r="Q4" s="30" t="s">
        <v>15</v>
      </c>
      <c r="R4" s="29" t="s">
        <v>95</v>
      </c>
      <c r="S4" s="29" t="s">
        <v>16</v>
      </c>
      <c r="T4" s="29" t="s">
        <v>17</v>
      </c>
      <c r="U4" s="29" t="s">
        <v>94</v>
      </c>
      <c r="V4" s="29" t="s">
        <v>18</v>
      </c>
      <c r="W4" s="29" t="s">
        <v>19</v>
      </c>
      <c r="X4" s="29" t="s">
        <v>20</v>
      </c>
      <c r="Y4" s="29" t="s">
        <v>21</v>
      </c>
      <c r="Z4" s="29" t="s">
        <v>22</v>
      </c>
      <c r="AA4" s="29" t="s">
        <v>23</v>
      </c>
      <c r="AB4" s="29" t="s">
        <v>24</v>
      </c>
    </row>
    <row r="5" spans="1:30" ht="45" hidden="1" x14ac:dyDescent="0.25">
      <c r="A5" s="24"/>
      <c r="B5" s="23"/>
      <c r="C5" s="23"/>
      <c r="D5" s="29"/>
      <c r="E5" s="29" t="s">
        <v>99</v>
      </c>
      <c r="F5" s="29"/>
      <c r="G5" s="29"/>
      <c r="H5" s="30"/>
      <c r="I5" s="35" t="s">
        <v>87</v>
      </c>
      <c r="J5" s="23" t="s">
        <v>25</v>
      </c>
      <c r="K5" s="31" t="s">
        <v>26</v>
      </c>
      <c r="L5" s="23" t="s">
        <v>89</v>
      </c>
      <c r="M5" s="23" t="s">
        <v>90</v>
      </c>
      <c r="N5" s="32" t="s">
        <v>27</v>
      </c>
      <c r="O5" s="23" t="s">
        <v>28</v>
      </c>
      <c r="P5" s="23" t="s">
        <v>29</v>
      </c>
      <c r="Q5" s="33" t="s">
        <v>80</v>
      </c>
      <c r="R5" s="23" t="s">
        <v>30</v>
      </c>
      <c r="S5" s="23" t="s">
        <v>91</v>
      </c>
      <c r="T5" s="23" t="s">
        <v>86</v>
      </c>
      <c r="U5" s="23" t="s">
        <v>88</v>
      </c>
      <c r="V5" s="23" t="s">
        <v>81</v>
      </c>
      <c r="W5" s="23" t="s">
        <v>78</v>
      </c>
      <c r="X5" s="23" t="s">
        <v>79</v>
      </c>
      <c r="Y5" s="22" t="s">
        <v>78</v>
      </c>
      <c r="Z5" s="22" t="s">
        <v>79</v>
      </c>
      <c r="AA5" s="22" t="s">
        <v>79</v>
      </c>
      <c r="AB5" s="22" t="s">
        <v>79</v>
      </c>
    </row>
    <row r="6" spans="1:30" s="16" customFormat="1" x14ac:dyDescent="0.25">
      <c r="A6" s="16" t="s">
        <v>31</v>
      </c>
      <c r="B6" s="13" t="s">
        <v>77</v>
      </c>
      <c r="C6" s="13">
        <v>14</v>
      </c>
      <c r="D6" s="17">
        <v>29023.293076923077</v>
      </c>
      <c r="E6" s="18">
        <f>SUM(C6*1500)</f>
        <v>21000</v>
      </c>
      <c r="F6" s="18">
        <f>MIN(H6:AD6)</f>
        <v>11074</v>
      </c>
      <c r="G6" s="18">
        <f>MAX(H6:AB6)</f>
        <v>25007.189749999998</v>
      </c>
      <c r="H6" s="18">
        <v>24278.824999999997</v>
      </c>
      <c r="I6" s="20">
        <f t="shared" ref="I6:I26" si="0">SUM(C6*1227)</f>
        <v>17178</v>
      </c>
      <c r="J6" s="36">
        <f t="shared" ref="J6:J26" si="1">SUM(C6*850)</f>
        <v>11900</v>
      </c>
      <c r="K6" s="36">
        <f t="shared" ref="K6:K26" si="2">SUM(C6*791)</f>
        <v>11074</v>
      </c>
      <c r="L6" s="36">
        <f>SUM(C6*1210)</f>
        <v>16940</v>
      </c>
      <c r="M6" s="36">
        <f>SUM(C6*1023)</f>
        <v>14322</v>
      </c>
      <c r="N6" s="36">
        <f t="shared" ref="N6:N26" si="3">SUM(C6*830)</f>
        <v>11620</v>
      </c>
      <c r="O6" s="36">
        <f t="shared" ref="O6:O26" si="4">SUM(C6*1299)</f>
        <v>18186</v>
      </c>
      <c r="P6" s="36">
        <f t="shared" ref="P6:P26" si="5">SUM(C6*1000)</f>
        <v>14000</v>
      </c>
      <c r="Q6" s="37">
        <f>SUM(D6*0.8)</f>
        <v>23218.634461538462</v>
      </c>
      <c r="R6" s="36">
        <f t="shared" ref="R6:R26" si="6">SUM(C6*1265)</f>
        <v>17710</v>
      </c>
      <c r="S6" s="36">
        <f>SUM(C6*1582)</f>
        <v>22148</v>
      </c>
      <c r="T6" s="36">
        <f t="shared" ref="T6:T26" si="7">SUM(C6*989)</f>
        <v>13846</v>
      </c>
      <c r="U6" s="36">
        <f>SUM(C6*1155)</f>
        <v>16170</v>
      </c>
      <c r="V6" s="37">
        <f>SUM(D6*0.85)</f>
        <v>24669.799115384616</v>
      </c>
      <c r="W6" s="37">
        <f t="shared" ref="W6:W26" si="8">SUM(H6*1.03)</f>
        <v>25007.189749999998</v>
      </c>
      <c r="X6" s="37">
        <f>SUM(H6*1)</f>
        <v>24278.824999999997</v>
      </c>
      <c r="Y6" s="18">
        <f>SUM(H6*1.03)</f>
        <v>25007.189749999998</v>
      </c>
      <c r="Z6" s="18">
        <f>SUM(H6*1)</f>
        <v>24278.824999999997</v>
      </c>
      <c r="AA6" s="18">
        <f>SUM(H6*1)</f>
        <v>24278.824999999997</v>
      </c>
      <c r="AB6" s="18">
        <f>SUM(H6*1)</f>
        <v>24278.824999999997</v>
      </c>
      <c r="AC6" s="20"/>
      <c r="AD6" s="20"/>
    </row>
    <row r="7" spans="1:30" s="16" customFormat="1" ht="14.25" customHeight="1" x14ac:dyDescent="0.25">
      <c r="A7" s="16" t="s">
        <v>32</v>
      </c>
      <c r="B7" s="13" t="s">
        <v>57</v>
      </c>
      <c r="C7" s="13">
        <v>14</v>
      </c>
      <c r="D7" s="17">
        <v>26831.903999999999</v>
      </c>
      <c r="E7" s="18">
        <f t="shared" ref="E7:E26" si="9">SUM(C7*1500)</f>
        <v>21000</v>
      </c>
      <c r="F7" s="19">
        <f>MIN(H7:AD7)</f>
        <v>11074</v>
      </c>
      <c r="G7" s="19">
        <f>MAX(H7:AB7)</f>
        <v>25128.111235</v>
      </c>
      <c r="H7" s="18">
        <v>24396.2245</v>
      </c>
      <c r="I7" s="20">
        <f t="shared" si="0"/>
        <v>17178</v>
      </c>
      <c r="J7" s="36">
        <f t="shared" si="1"/>
        <v>11900</v>
      </c>
      <c r="K7" s="36">
        <f t="shared" si="2"/>
        <v>11074</v>
      </c>
      <c r="L7" s="36">
        <f t="shared" ref="L7:L26" si="10">SUM(C7*1210)</f>
        <v>16940</v>
      </c>
      <c r="M7" s="36">
        <f t="shared" ref="M7:M26" si="11">SUM(C7*1023)</f>
        <v>14322</v>
      </c>
      <c r="N7" s="36">
        <f t="shared" si="3"/>
        <v>11620</v>
      </c>
      <c r="O7" s="36">
        <f t="shared" si="4"/>
        <v>18186</v>
      </c>
      <c r="P7" s="36">
        <f t="shared" si="5"/>
        <v>14000</v>
      </c>
      <c r="Q7" s="37">
        <f t="shared" ref="Q7:Q25" si="12">SUM(D7*0.8)</f>
        <v>21465.5232</v>
      </c>
      <c r="R7" s="36">
        <f t="shared" si="6"/>
        <v>17710</v>
      </c>
      <c r="S7" s="36">
        <f t="shared" ref="S7:S26" si="13">SUM(C7*1582)</f>
        <v>22148</v>
      </c>
      <c r="T7" s="36">
        <f t="shared" si="7"/>
        <v>13846</v>
      </c>
      <c r="U7" s="36">
        <f t="shared" ref="U7:U26" si="14">SUM(C7*1155)</f>
        <v>16170</v>
      </c>
      <c r="V7" s="37">
        <f t="shared" ref="V7:V25" si="15">SUM(D7*0.85)</f>
        <v>22807.118399999999</v>
      </c>
      <c r="W7" s="37">
        <f t="shared" si="8"/>
        <v>25128.111235</v>
      </c>
      <c r="X7" s="37">
        <f t="shared" ref="X7:X26" si="16">SUM(H7*1)</f>
        <v>24396.2245</v>
      </c>
      <c r="Y7" s="18">
        <f t="shared" ref="Y7:Y26" si="17">SUM(H7*1.03)</f>
        <v>25128.111235</v>
      </c>
      <c r="Z7" s="18">
        <f t="shared" ref="Z7:Z26" si="18">SUM(H7*1)</f>
        <v>24396.2245</v>
      </c>
      <c r="AA7" s="18">
        <f t="shared" ref="AA7:AA27" si="19">SUM(H7*1)</f>
        <v>24396.2245</v>
      </c>
      <c r="AB7" s="18">
        <f t="shared" ref="AB7:AB26" si="20">SUM(H7*1)</f>
        <v>24396.2245</v>
      </c>
      <c r="AC7" s="20"/>
      <c r="AD7" s="20"/>
    </row>
    <row r="8" spans="1:30" s="16" customFormat="1" x14ac:dyDescent="0.25">
      <c r="A8" s="16" t="s">
        <v>33</v>
      </c>
      <c r="B8" s="13" t="s">
        <v>58</v>
      </c>
      <c r="C8" s="13">
        <v>14</v>
      </c>
      <c r="D8" s="17">
        <v>22805.692500000001</v>
      </c>
      <c r="E8" s="18">
        <f t="shared" si="9"/>
        <v>21000</v>
      </c>
      <c r="F8" s="19">
        <f>MIN(H8:AD8)</f>
        <v>11074</v>
      </c>
      <c r="G8" s="19">
        <f t="shared" ref="G8:G26" si="21">MAX(H8:AB8)</f>
        <v>25576.560359999999</v>
      </c>
      <c r="H8" s="18">
        <v>24831.611999999997</v>
      </c>
      <c r="I8" s="20">
        <f t="shared" si="0"/>
        <v>17178</v>
      </c>
      <c r="J8" s="36">
        <f t="shared" si="1"/>
        <v>11900</v>
      </c>
      <c r="K8" s="36">
        <f t="shared" si="2"/>
        <v>11074</v>
      </c>
      <c r="L8" s="36">
        <f t="shared" si="10"/>
        <v>16940</v>
      </c>
      <c r="M8" s="36">
        <f t="shared" si="11"/>
        <v>14322</v>
      </c>
      <c r="N8" s="36">
        <f t="shared" si="3"/>
        <v>11620</v>
      </c>
      <c r="O8" s="36">
        <f t="shared" si="4"/>
        <v>18186</v>
      </c>
      <c r="P8" s="36">
        <f t="shared" si="5"/>
        <v>14000</v>
      </c>
      <c r="Q8" s="37">
        <f t="shared" si="12"/>
        <v>18244.554</v>
      </c>
      <c r="R8" s="36">
        <f t="shared" si="6"/>
        <v>17710</v>
      </c>
      <c r="S8" s="36">
        <f t="shared" si="13"/>
        <v>22148</v>
      </c>
      <c r="T8" s="36">
        <f t="shared" si="7"/>
        <v>13846</v>
      </c>
      <c r="U8" s="36">
        <f t="shared" si="14"/>
        <v>16170</v>
      </c>
      <c r="V8" s="37">
        <f t="shared" si="15"/>
        <v>19384.838625</v>
      </c>
      <c r="W8" s="37">
        <f t="shared" si="8"/>
        <v>25576.560359999999</v>
      </c>
      <c r="X8" s="37">
        <f t="shared" si="16"/>
        <v>24831.611999999997</v>
      </c>
      <c r="Y8" s="18">
        <f t="shared" si="17"/>
        <v>25576.560359999999</v>
      </c>
      <c r="Z8" s="18">
        <f t="shared" si="18"/>
        <v>24831.611999999997</v>
      </c>
      <c r="AA8" s="18">
        <f t="shared" si="19"/>
        <v>24831.611999999997</v>
      </c>
      <c r="AB8" s="18">
        <f t="shared" si="20"/>
        <v>24831.611999999997</v>
      </c>
      <c r="AC8" s="20"/>
      <c r="AD8" s="20"/>
    </row>
    <row r="9" spans="1:30" s="16" customFormat="1" x14ac:dyDescent="0.25">
      <c r="A9" s="16" t="s">
        <v>34</v>
      </c>
      <c r="B9" s="13" t="s">
        <v>59</v>
      </c>
      <c r="C9" s="13">
        <v>21</v>
      </c>
      <c r="D9" s="17">
        <v>37151</v>
      </c>
      <c r="E9" s="18">
        <f t="shared" si="9"/>
        <v>31500</v>
      </c>
      <c r="F9" s="19">
        <f t="shared" ref="F9:F26" si="22">MIN(H9:AD9)</f>
        <v>16611</v>
      </c>
      <c r="G9" s="19">
        <f t="shared" si="21"/>
        <v>38265.91146785715</v>
      </c>
      <c r="H9" s="18">
        <v>37151.370357142863</v>
      </c>
      <c r="I9" s="20">
        <f t="shared" si="0"/>
        <v>25767</v>
      </c>
      <c r="J9" s="36">
        <f t="shared" si="1"/>
        <v>17850</v>
      </c>
      <c r="K9" s="36">
        <f t="shared" si="2"/>
        <v>16611</v>
      </c>
      <c r="L9" s="36">
        <f t="shared" si="10"/>
        <v>25410</v>
      </c>
      <c r="M9" s="36">
        <f t="shared" si="11"/>
        <v>21483</v>
      </c>
      <c r="N9" s="36">
        <f t="shared" si="3"/>
        <v>17430</v>
      </c>
      <c r="O9" s="36">
        <f t="shared" si="4"/>
        <v>27279</v>
      </c>
      <c r="P9" s="36">
        <f t="shared" si="5"/>
        <v>21000</v>
      </c>
      <c r="Q9" s="37">
        <f t="shared" si="12"/>
        <v>29720.800000000003</v>
      </c>
      <c r="R9" s="36">
        <f t="shared" si="6"/>
        <v>26565</v>
      </c>
      <c r="S9" s="36">
        <f t="shared" si="13"/>
        <v>33222</v>
      </c>
      <c r="T9" s="36">
        <f t="shared" si="7"/>
        <v>20769</v>
      </c>
      <c r="U9" s="36">
        <f t="shared" si="14"/>
        <v>24255</v>
      </c>
      <c r="V9" s="37">
        <f t="shared" si="15"/>
        <v>31578.35</v>
      </c>
      <c r="W9" s="37">
        <f t="shared" si="8"/>
        <v>38265.91146785715</v>
      </c>
      <c r="X9" s="37">
        <f t="shared" si="16"/>
        <v>37151.370357142863</v>
      </c>
      <c r="Y9" s="18">
        <f t="shared" si="17"/>
        <v>38265.91146785715</v>
      </c>
      <c r="Z9" s="18">
        <f t="shared" si="18"/>
        <v>37151.370357142863</v>
      </c>
      <c r="AA9" s="18">
        <f t="shared" si="19"/>
        <v>37151.370357142863</v>
      </c>
      <c r="AB9" s="18">
        <f t="shared" si="20"/>
        <v>37151.370357142863</v>
      </c>
      <c r="AC9" s="20"/>
      <c r="AD9" s="20"/>
    </row>
    <row r="10" spans="1:30" s="16" customFormat="1" x14ac:dyDescent="0.25">
      <c r="A10" s="16" t="s">
        <v>35</v>
      </c>
      <c r="B10" s="13" t="s">
        <v>60</v>
      </c>
      <c r="C10" s="13">
        <v>16</v>
      </c>
      <c r="D10" s="34">
        <v>27976.941999999999</v>
      </c>
      <c r="E10" s="18">
        <f t="shared" si="9"/>
        <v>24000</v>
      </c>
      <c r="F10" s="19">
        <f t="shared" si="22"/>
        <v>12656</v>
      </c>
      <c r="G10" s="19">
        <f t="shared" si="21"/>
        <v>27229.985884999998</v>
      </c>
      <c r="H10" s="18">
        <v>26436.879499999999</v>
      </c>
      <c r="I10" s="20">
        <f t="shared" si="0"/>
        <v>19632</v>
      </c>
      <c r="J10" s="36">
        <f t="shared" si="1"/>
        <v>13600</v>
      </c>
      <c r="K10" s="36">
        <f t="shared" si="2"/>
        <v>12656</v>
      </c>
      <c r="L10" s="36">
        <f t="shared" si="10"/>
        <v>19360</v>
      </c>
      <c r="M10" s="36">
        <f t="shared" si="11"/>
        <v>16368</v>
      </c>
      <c r="N10" s="36">
        <f t="shared" si="3"/>
        <v>13280</v>
      </c>
      <c r="O10" s="36">
        <f t="shared" si="4"/>
        <v>20784</v>
      </c>
      <c r="P10" s="36">
        <f t="shared" si="5"/>
        <v>16000</v>
      </c>
      <c r="Q10" s="37">
        <f t="shared" si="12"/>
        <v>22381.553599999999</v>
      </c>
      <c r="R10" s="36">
        <f t="shared" si="6"/>
        <v>20240</v>
      </c>
      <c r="S10" s="36">
        <f t="shared" si="13"/>
        <v>25312</v>
      </c>
      <c r="T10" s="36">
        <f t="shared" si="7"/>
        <v>15824</v>
      </c>
      <c r="U10" s="36">
        <f t="shared" si="14"/>
        <v>18480</v>
      </c>
      <c r="V10" s="37">
        <f t="shared" si="15"/>
        <v>23780.400699999998</v>
      </c>
      <c r="W10" s="37">
        <f t="shared" si="8"/>
        <v>27229.985884999998</v>
      </c>
      <c r="X10" s="37">
        <f t="shared" si="16"/>
        <v>26436.879499999999</v>
      </c>
      <c r="Y10" s="18">
        <f t="shared" si="17"/>
        <v>27229.985884999998</v>
      </c>
      <c r="Z10" s="18">
        <f t="shared" si="18"/>
        <v>26436.879499999999</v>
      </c>
      <c r="AA10" s="18">
        <f t="shared" si="19"/>
        <v>26436.879499999999</v>
      </c>
      <c r="AB10" s="18">
        <f t="shared" si="20"/>
        <v>26436.879499999999</v>
      </c>
      <c r="AC10" s="20"/>
      <c r="AD10" s="20"/>
    </row>
    <row r="11" spans="1:30" s="16" customFormat="1" x14ac:dyDescent="0.25">
      <c r="A11" s="16" t="s">
        <v>36</v>
      </c>
      <c r="B11" s="13" t="s">
        <v>61</v>
      </c>
      <c r="C11" s="13">
        <v>14</v>
      </c>
      <c r="D11" s="17">
        <v>22406.525384615383</v>
      </c>
      <c r="E11" s="18">
        <f t="shared" si="9"/>
        <v>21000</v>
      </c>
      <c r="F11" s="19">
        <f t="shared" si="22"/>
        <v>11074</v>
      </c>
      <c r="G11" s="19">
        <f t="shared" si="21"/>
        <v>25062.551606249999</v>
      </c>
      <c r="H11" s="18">
        <v>24332.574375</v>
      </c>
      <c r="I11" s="20">
        <f t="shared" si="0"/>
        <v>17178</v>
      </c>
      <c r="J11" s="36">
        <f t="shared" si="1"/>
        <v>11900</v>
      </c>
      <c r="K11" s="36">
        <f t="shared" si="2"/>
        <v>11074</v>
      </c>
      <c r="L11" s="36">
        <f t="shared" si="10"/>
        <v>16940</v>
      </c>
      <c r="M11" s="36">
        <f t="shared" si="11"/>
        <v>14322</v>
      </c>
      <c r="N11" s="36">
        <f t="shared" si="3"/>
        <v>11620</v>
      </c>
      <c r="O11" s="36">
        <f t="shared" si="4"/>
        <v>18186</v>
      </c>
      <c r="P11" s="36">
        <f t="shared" si="5"/>
        <v>14000</v>
      </c>
      <c r="Q11" s="37">
        <f t="shared" si="12"/>
        <v>17925.220307692307</v>
      </c>
      <c r="R11" s="36">
        <f t="shared" si="6"/>
        <v>17710</v>
      </c>
      <c r="S11" s="36">
        <f t="shared" si="13"/>
        <v>22148</v>
      </c>
      <c r="T11" s="36">
        <f t="shared" si="7"/>
        <v>13846</v>
      </c>
      <c r="U11" s="36">
        <f t="shared" si="14"/>
        <v>16170</v>
      </c>
      <c r="V11" s="37">
        <f t="shared" si="15"/>
        <v>19045.546576923076</v>
      </c>
      <c r="W11" s="37">
        <f t="shared" si="8"/>
        <v>25062.551606249999</v>
      </c>
      <c r="X11" s="37">
        <f t="shared" si="16"/>
        <v>24332.574375</v>
      </c>
      <c r="Y11" s="18">
        <f t="shared" si="17"/>
        <v>25062.551606249999</v>
      </c>
      <c r="Z11" s="18">
        <f t="shared" si="18"/>
        <v>24332.574375</v>
      </c>
      <c r="AA11" s="18">
        <f t="shared" si="19"/>
        <v>24332.574375</v>
      </c>
      <c r="AB11" s="18">
        <f t="shared" si="20"/>
        <v>24332.574375</v>
      </c>
      <c r="AC11" s="20"/>
      <c r="AD11" s="20"/>
    </row>
    <row r="12" spans="1:30" s="16" customFormat="1" x14ac:dyDescent="0.25">
      <c r="A12" s="16" t="s">
        <v>37</v>
      </c>
      <c r="B12" s="13" t="s">
        <v>62</v>
      </c>
      <c r="C12" s="13">
        <v>14</v>
      </c>
      <c r="D12" s="17">
        <v>22791.096666666668</v>
      </c>
      <c r="E12" s="18">
        <f t="shared" si="9"/>
        <v>21000</v>
      </c>
      <c r="F12" s="19">
        <f t="shared" si="22"/>
        <v>11074</v>
      </c>
      <c r="G12" s="19">
        <f t="shared" si="21"/>
        <v>23998.940775000003</v>
      </c>
      <c r="H12" s="18">
        <v>23299.942500000001</v>
      </c>
      <c r="I12" s="20">
        <f t="shared" si="0"/>
        <v>17178</v>
      </c>
      <c r="J12" s="36">
        <f t="shared" si="1"/>
        <v>11900</v>
      </c>
      <c r="K12" s="36">
        <f t="shared" si="2"/>
        <v>11074</v>
      </c>
      <c r="L12" s="36">
        <f t="shared" si="10"/>
        <v>16940</v>
      </c>
      <c r="M12" s="36">
        <f t="shared" si="11"/>
        <v>14322</v>
      </c>
      <c r="N12" s="36">
        <f t="shared" si="3"/>
        <v>11620</v>
      </c>
      <c r="O12" s="36">
        <f t="shared" si="4"/>
        <v>18186</v>
      </c>
      <c r="P12" s="36">
        <f t="shared" si="5"/>
        <v>14000</v>
      </c>
      <c r="Q12" s="37">
        <f t="shared" si="12"/>
        <v>18232.877333333334</v>
      </c>
      <c r="R12" s="36">
        <f t="shared" si="6"/>
        <v>17710</v>
      </c>
      <c r="S12" s="36">
        <f t="shared" si="13"/>
        <v>22148</v>
      </c>
      <c r="T12" s="36">
        <f t="shared" si="7"/>
        <v>13846</v>
      </c>
      <c r="U12" s="36">
        <f t="shared" si="14"/>
        <v>16170</v>
      </c>
      <c r="V12" s="37">
        <f t="shared" si="15"/>
        <v>19372.432166666669</v>
      </c>
      <c r="W12" s="37">
        <f t="shared" si="8"/>
        <v>23998.940775000003</v>
      </c>
      <c r="X12" s="37">
        <f t="shared" si="16"/>
        <v>23299.942500000001</v>
      </c>
      <c r="Y12" s="18">
        <f t="shared" si="17"/>
        <v>23998.940775000003</v>
      </c>
      <c r="Z12" s="18">
        <f t="shared" si="18"/>
        <v>23299.942500000001</v>
      </c>
      <c r="AA12" s="18">
        <f t="shared" si="19"/>
        <v>23299.942500000001</v>
      </c>
      <c r="AB12" s="18">
        <f t="shared" si="20"/>
        <v>23299.942500000001</v>
      </c>
      <c r="AC12" s="20"/>
      <c r="AD12" s="20"/>
    </row>
    <row r="13" spans="1:30" s="16" customFormat="1" x14ac:dyDescent="0.25">
      <c r="A13" s="16" t="s">
        <v>38</v>
      </c>
      <c r="B13" s="13" t="s">
        <v>63</v>
      </c>
      <c r="C13" s="13">
        <v>14</v>
      </c>
      <c r="D13" s="17">
        <v>17295.668000000001</v>
      </c>
      <c r="E13" s="18">
        <f t="shared" si="9"/>
        <v>21000</v>
      </c>
      <c r="F13" s="19">
        <f t="shared" si="22"/>
        <v>11074</v>
      </c>
      <c r="G13" s="19">
        <f t="shared" si="21"/>
        <v>22148</v>
      </c>
      <c r="H13" s="18">
        <v>21233.143500000002</v>
      </c>
      <c r="I13" s="20">
        <f t="shared" si="0"/>
        <v>17178</v>
      </c>
      <c r="J13" s="36">
        <f t="shared" si="1"/>
        <v>11900</v>
      </c>
      <c r="K13" s="36">
        <f t="shared" si="2"/>
        <v>11074</v>
      </c>
      <c r="L13" s="36">
        <f t="shared" si="10"/>
        <v>16940</v>
      </c>
      <c r="M13" s="36">
        <f t="shared" si="11"/>
        <v>14322</v>
      </c>
      <c r="N13" s="36">
        <f t="shared" si="3"/>
        <v>11620</v>
      </c>
      <c r="O13" s="36">
        <f t="shared" si="4"/>
        <v>18186</v>
      </c>
      <c r="P13" s="36">
        <f t="shared" si="5"/>
        <v>14000</v>
      </c>
      <c r="Q13" s="37">
        <f t="shared" si="12"/>
        <v>13836.534400000002</v>
      </c>
      <c r="R13" s="36">
        <f t="shared" si="6"/>
        <v>17710</v>
      </c>
      <c r="S13" s="36">
        <f t="shared" si="13"/>
        <v>22148</v>
      </c>
      <c r="T13" s="36">
        <f t="shared" si="7"/>
        <v>13846</v>
      </c>
      <c r="U13" s="36">
        <f t="shared" si="14"/>
        <v>16170</v>
      </c>
      <c r="V13" s="37">
        <f t="shared" si="15"/>
        <v>14701.317800000001</v>
      </c>
      <c r="W13" s="37">
        <f t="shared" si="8"/>
        <v>21870.137805000002</v>
      </c>
      <c r="X13" s="37">
        <f t="shared" si="16"/>
        <v>21233.143500000002</v>
      </c>
      <c r="Y13" s="18">
        <f t="shared" si="17"/>
        <v>21870.137805000002</v>
      </c>
      <c r="Z13" s="18">
        <f t="shared" si="18"/>
        <v>21233.143500000002</v>
      </c>
      <c r="AA13" s="18">
        <f t="shared" si="19"/>
        <v>21233.143500000002</v>
      </c>
      <c r="AB13" s="18">
        <f t="shared" si="20"/>
        <v>21233.143500000002</v>
      </c>
      <c r="AC13" s="20"/>
      <c r="AD13" s="20"/>
    </row>
    <row r="14" spans="1:30" s="16" customFormat="1" x14ac:dyDescent="0.25">
      <c r="A14" s="16" t="s">
        <v>39</v>
      </c>
      <c r="B14" s="13" t="s">
        <v>64</v>
      </c>
      <c r="C14" s="13">
        <v>13</v>
      </c>
      <c r="D14" s="17">
        <v>19900.146666666664</v>
      </c>
      <c r="E14" s="18">
        <f t="shared" si="9"/>
        <v>19500</v>
      </c>
      <c r="F14" s="19">
        <f t="shared" si="22"/>
        <v>10283</v>
      </c>
      <c r="G14" s="19">
        <f t="shared" si="21"/>
        <v>23309.471649999999</v>
      </c>
      <c r="H14" s="18">
        <v>22630.555</v>
      </c>
      <c r="I14" s="20">
        <f t="shared" si="0"/>
        <v>15951</v>
      </c>
      <c r="J14" s="36">
        <f t="shared" si="1"/>
        <v>11050</v>
      </c>
      <c r="K14" s="36">
        <f t="shared" si="2"/>
        <v>10283</v>
      </c>
      <c r="L14" s="36">
        <f t="shared" si="10"/>
        <v>15730</v>
      </c>
      <c r="M14" s="36">
        <f t="shared" si="11"/>
        <v>13299</v>
      </c>
      <c r="N14" s="36">
        <f t="shared" si="3"/>
        <v>10790</v>
      </c>
      <c r="O14" s="36">
        <f t="shared" si="4"/>
        <v>16887</v>
      </c>
      <c r="P14" s="36">
        <f t="shared" si="5"/>
        <v>13000</v>
      </c>
      <c r="Q14" s="37">
        <f t="shared" si="12"/>
        <v>15920.117333333332</v>
      </c>
      <c r="R14" s="36">
        <f t="shared" si="6"/>
        <v>16445</v>
      </c>
      <c r="S14" s="36">
        <f t="shared" si="13"/>
        <v>20566</v>
      </c>
      <c r="T14" s="36">
        <f t="shared" si="7"/>
        <v>12857</v>
      </c>
      <c r="U14" s="36">
        <f t="shared" si="14"/>
        <v>15015</v>
      </c>
      <c r="V14" s="37">
        <f t="shared" si="15"/>
        <v>16915.124666666663</v>
      </c>
      <c r="W14" s="37">
        <f t="shared" si="8"/>
        <v>23309.471649999999</v>
      </c>
      <c r="X14" s="37">
        <f t="shared" si="16"/>
        <v>22630.555</v>
      </c>
      <c r="Y14" s="18">
        <f t="shared" si="17"/>
        <v>23309.471649999999</v>
      </c>
      <c r="Z14" s="18">
        <f t="shared" si="18"/>
        <v>22630.555</v>
      </c>
      <c r="AA14" s="18">
        <f t="shared" si="19"/>
        <v>22630.555</v>
      </c>
      <c r="AB14" s="18">
        <f t="shared" si="20"/>
        <v>22630.555</v>
      </c>
      <c r="AC14" s="20"/>
      <c r="AD14" s="20"/>
    </row>
    <row r="15" spans="1:30" s="16" customFormat="1" x14ac:dyDescent="0.25">
      <c r="A15" s="16" t="s">
        <v>40</v>
      </c>
      <c r="B15" s="13" t="s">
        <v>65</v>
      </c>
      <c r="C15" s="13">
        <v>14</v>
      </c>
      <c r="D15" s="17" t="s">
        <v>84</v>
      </c>
      <c r="E15" s="18">
        <f t="shared" si="9"/>
        <v>21000</v>
      </c>
      <c r="F15" s="19">
        <f t="shared" si="22"/>
        <v>11074</v>
      </c>
      <c r="G15" s="19">
        <f t="shared" si="21"/>
        <v>24395.542918750001</v>
      </c>
      <c r="H15" s="18">
        <v>23684.993125000001</v>
      </c>
      <c r="I15" s="20">
        <f t="shared" si="0"/>
        <v>17178</v>
      </c>
      <c r="J15" s="36">
        <f t="shared" si="1"/>
        <v>11900</v>
      </c>
      <c r="K15" s="36">
        <f t="shared" si="2"/>
        <v>11074</v>
      </c>
      <c r="L15" s="36">
        <f t="shared" si="10"/>
        <v>16940</v>
      </c>
      <c r="M15" s="36">
        <f t="shared" si="11"/>
        <v>14322</v>
      </c>
      <c r="N15" s="36">
        <f t="shared" si="3"/>
        <v>11620</v>
      </c>
      <c r="O15" s="36">
        <f t="shared" si="4"/>
        <v>18186</v>
      </c>
      <c r="P15" s="36">
        <f t="shared" si="5"/>
        <v>14000</v>
      </c>
      <c r="Q15" s="39" t="s">
        <v>84</v>
      </c>
      <c r="R15" s="36">
        <f t="shared" si="6"/>
        <v>17710</v>
      </c>
      <c r="S15" s="36">
        <f t="shared" si="13"/>
        <v>22148</v>
      </c>
      <c r="T15" s="36">
        <f t="shared" si="7"/>
        <v>13846</v>
      </c>
      <c r="U15" s="36">
        <f t="shared" si="14"/>
        <v>16170</v>
      </c>
      <c r="V15" s="39" t="s">
        <v>84</v>
      </c>
      <c r="W15" s="37">
        <f t="shared" si="8"/>
        <v>24395.542918750001</v>
      </c>
      <c r="X15" s="37">
        <f t="shared" si="16"/>
        <v>23684.993125000001</v>
      </c>
      <c r="Y15" s="18">
        <f t="shared" si="17"/>
        <v>24395.542918750001</v>
      </c>
      <c r="Z15" s="18">
        <f t="shared" si="18"/>
        <v>23684.993125000001</v>
      </c>
      <c r="AA15" s="18">
        <f t="shared" si="19"/>
        <v>23684.993125000001</v>
      </c>
      <c r="AB15" s="18">
        <f t="shared" si="20"/>
        <v>23684.993125000001</v>
      </c>
      <c r="AC15" s="20"/>
      <c r="AD15" s="20"/>
    </row>
    <row r="16" spans="1:30" s="16" customFormat="1" x14ac:dyDescent="0.25">
      <c r="A16" s="16" t="s">
        <v>41</v>
      </c>
      <c r="B16" s="13" t="s">
        <v>66</v>
      </c>
      <c r="C16" s="13">
        <v>13</v>
      </c>
      <c r="D16" s="21" t="s">
        <v>84</v>
      </c>
      <c r="E16" s="18">
        <f t="shared" si="9"/>
        <v>19500</v>
      </c>
      <c r="F16" s="19">
        <f t="shared" si="22"/>
        <v>10283</v>
      </c>
      <c r="G16" s="19">
        <f t="shared" si="21"/>
        <v>24469.328041666668</v>
      </c>
      <c r="H16" s="18">
        <v>23756.629166666666</v>
      </c>
      <c r="I16" s="20">
        <f t="shared" si="0"/>
        <v>15951</v>
      </c>
      <c r="J16" s="36">
        <f t="shared" si="1"/>
        <v>11050</v>
      </c>
      <c r="K16" s="36">
        <f t="shared" si="2"/>
        <v>10283</v>
      </c>
      <c r="L16" s="36">
        <f t="shared" si="10"/>
        <v>15730</v>
      </c>
      <c r="M16" s="36">
        <f t="shared" si="11"/>
        <v>13299</v>
      </c>
      <c r="N16" s="36">
        <f t="shared" si="3"/>
        <v>10790</v>
      </c>
      <c r="O16" s="36">
        <f t="shared" si="4"/>
        <v>16887</v>
      </c>
      <c r="P16" s="36">
        <f t="shared" si="5"/>
        <v>13000</v>
      </c>
      <c r="Q16" s="38" t="s">
        <v>84</v>
      </c>
      <c r="R16" s="36">
        <f t="shared" si="6"/>
        <v>16445</v>
      </c>
      <c r="S16" s="36">
        <f t="shared" si="13"/>
        <v>20566</v>
      </c>
      <c r="T16" s="36">
        <f t="shared" si="7"/>
        <v>12857</v>
      </c>
      <c r="U16" s="36">
        <f t="shared" si="14"/>
        <v>15015</v>
      </c>
      <c r="V16" s="38" t="s">
        <v>84</v>
      </c>
      <c r="W16" s="37">
        <f t="shared" si="8"/>
        <v>24469.328041666668</v>
      </c>
      <c r="X16" s="37">
        <f t="shared" si="16"/>
        <v>23756.629166666666</v>
      </c>
      <c r="Y16" s="18">
        <f t="shared" si="17"/>
        <v>24469.328041666668</v>
      </c>
      <c r="Z16" s="18">
        <f t="shared" si="18"/>
        <v>23756.629166666666</v>
      </c>
      <c r="AA16" s="18">
        <f t="shared" si="19"/>
        <v>23756.629166666666</v>
      </c>
      <c r="AB16" s="18">
        <f t="shared" si="20"/>
        <v>23756.629166666666</v>
      </c>
      <c r="AC16" s="20"/>
      <c r="AD16" s="20"/>
    </row>
    <row r="17" spans="1:30" s="16" customFormat="1" x14ac:dyDescent="0.25">
      <c r="A17" s="16" t="s">
        <v>42</v>
      </c>
      <c r="B17" s="13" t="s">
        <v>67</v>
      </c>
      <c r="C17" s="13">
        <v>14</v>
      </c>
      <c r="D17" s="21" t="s">
        <v>84</v>
      </c>
      <c r="E17" s="18">
        <f t="shared" si="9"/>
        <v>21000</v>
      </c>
      <c r="F17" s="19">
        <f t="shared" si="22"/>
        <v>11074</v>
      </c>
      <c r="G17" s="19">
        <f t="shared" si="21"/>
        <v>24810.593006250001</v>
      </c>
      <c r="H17" s="18">
        <v>24087.954375000001</v>
      </c>
      <c r="I17" s="20">
        <f t="shared" si="0"/>
        <v>17178</v>
      </c>
      <c r="J17" s="36">
        <f t="shared" si="1"/>
        <v>11900</v>
      </c>
      <c r="K17" s="36">
        <f t="shared" si="2"/>
        <v>11074</v>
      </c>
      <c r="L17" s="36">
        <f t="shared" si="10"/>
        <v>16940</v>
      </c>
      <c r="M17" s="36">
        <f t="shared" si="11"/>
        <v>14322</v>
      </c>
      <c r="N17" s="36">
        <f t="shared" si="3"/>
        <v>11620</v>
      </c>
      <c r="O17" s="36">
        <f t="shared" si="4"/>
        <v>18186</v>
      </c>
      <c r="P17" s="36">
        <f t="shared" si="5"/>
        <v>14000</v>
      </c>
      <c r="Q17" s="38" t="s">
        <v>84</v>
      </c>
      <c r="R17" s="36">
        <f t="shared" si="6"/>
        <v>17710</v>
      </c>
      <c r="S17" s="36">
        <f t="shared" si="13"/>
        <v>22148</v>
      </c>
      <c r="T17" s="36">
        <f t="shared" si="7"/>
        <v>13846</v>
      </c>
      <c r="U17" s="36">
        <f t="shared" si="14"/>
        <v>16170</v>
      </c>
      <c r="V17" s="38" t="s">
        <v>84</v>
      </c>
      <c r="W17" s="37">
        <f t="shared" si="8"/>
        <v>24810.593006250001</v>
      </c>
      <c r="X17" s="37">
        <f t="shared" si="16"/>
        <v>24087.954375000001</v>
      </c>
      <c r="Y17" s="18">
        <f t="shared" si="17"/>
        <v>24810.593006250001</v>
      </c>
      <c r="Z17" s="18">
        <f t="shared" si="18"/>
        <v>24087.954375000001</v>
      </c>
      <c r="AA17" s="18">
        <f t="shared" si="19"/>
        <v>24087.954375000001</v>
      </c>
      <c r="AB17" s="18">
        <f t="shared" si="20"/>
        <v>24087.954375000001</v>
      </c>
      <c r="AC17" s="20"/>
      <c r="AD17" s="20"/>
    </row>
    <row r="18" spans="1:30" x14ac:dyDescent="0.25">
      <c r="A18" t="s">
        <v>43</v>
      </c>
      <c r="B18" s="13" t="s">
        <v>68</v>
      </c>
      <c r="C18" s="13">
        <v>13</v>
      </c>
      <c r="D18" s="21" t="s">
        <v>84</v>
      </c>
      <c r="E18" s="18">
        <f t="shared" si="9"/>
        <v>19500</v>
      </c>
      <c r="F18" s="19">
        <f t="shared" si="22"/>
        <v>10283</v>
      </c>
      <c r="G18" s="19">
        <f t="shared" si="21"/>
        <v>25697.049245000002</v>
      </c>
      <c r="H18" s="18">
        <v>24948.591500000002</v>
      </c>
      <c r="I18" s="20">
        <f t="shared" si="0"/>
        <v>15951</v>
      </c>
      <c r="J18" s="36">
        <f t="shared" si="1"/>
        <v>11050</v>
      </c>
      <c r="K18" s="36">
        <f t="shared" si="2"/>
        <v>10283</v>
      </c>
      <c r="L18" s="36">
        <f t="shared" si="10"/>
        <v>15730</v>
      </c>
      <c r="M18" s="36">
        <f t="shared" si="11"/>
        <v>13299</v>
      </c>
      <c r="N18" s="36">
        <f t="shared" si="3"/>
        <v>10790</v>
      </c>
      <c r="O18" s="36">
        <f t="shared" si="4"/>
        <v>16887</v>
      </c>
      <c r="P18" s="36">
        <f t="shared" si="5"/>
        <v>13000</v>
      </c>
      <c r="Q18" s="38" t="s">
        <v>84</v>
      </c>
      <c r="R18" s="36">
        <f t="shared" si="6"/>
        <v>16445</v>
      </c>
      <c r="S18" s="36">
        <f t="shared" si="13"/>
        <v>20566</v>
      </c>
      <c r="T18" s="36">
        <f t="shared" si="7"/>
        <v>12857</v>
      </c>
      <c r="U18" s="36">
        <f t="shared" si="14"/>
        <v>15015</v>
      </c>
      <c r="V18" s="38" t="s">
        <v>84</v>
      </c>
      <c r="W18" s="37">
        <f t="shared" si="8"/>
        <v>25697.049245000002</v>
      </c>
      <c r="X18" s="37">
        <f t="shared" si="16"/>
        <v>24948.591500000002</v>
      </c>
      <c r="Y18" s="18">
        <f t="shared" si="17"/>
        <v>25697.049245000002</v>
      </c>
      <c r="Z18" s="18">
        <f t="shared" si="18"/>
        <v>24948.591500000002</v>
      </c>
      <c r="AA18" s="18">
        <f t="shared" si="19"/>
        <v>24948.591500000002</v>
      </c>
      <c r="AB18" s="18">
        <f t="shared" si="20"/>
        <v>24948.591500000002</v>
      </c>
      <c r="AC18" s="20"/>
      <c r="AD18" s="20"/>
    </row>
    <row r="19" spans="1:30" x14ac:dyDescent="0.25">
      <c r="A19" t="s">
        <v>44</v>
      </c>
      <c r="B19" s="13" t="s">
        <v>69</v>
      </c>
      <c r="C19" s="13">
        <v>13</v>
      </c>
      <c r="D19" s="17">
        <v>20991.578181818182</v>
      </c>
      <c r="E19" s="18">
        <f t="shared" si="9"/>
        <v>19500</v>
      </c>
      <c r="F19" s="19">
        <f t="shared" si="22"/>
        <v>10283</v>
      </c>
      <c r="G19" s="19">
        <f t="shared" si="21"/>
        <v>21629.853225000006</v>
      </c>
      <c r="H19" s="18">
        <v>20999.857500000006</v>
      </c>
      <c r="I19" s="20">
        <f t="shared" si="0"/>
        <v>15951</v>
      </c>
      <c r="J19" s="36">
        <f t="shared" si="1"/>
        <v>11050</v>
      </c>
      <c r="K19" s="36">
        <f t="shared" si="2"/>
        <v>10283</v>
      </c>
      <c r="L19" s="36">
        <f t="shared" si="10"/>
        <v>15730</v>
      </c>
      <c r="M19" s="36">
        <f t="shared" si="11"/>
        <v>13299</v>
      </c>
      <c r="N19" s="36">
        <f t="shared" si="3"/>
        <v>10790</v>
      </c>
      <c r="O19" s="36">
        <f t="shared" si="4"/>
        <v>16887</v>
      </c>
      <c r="P19" s="36">
        <f t="shared" si="5"/>
        <v>13000</v>
      </c>
      <c r="Q19" s="37">
        <f t="shared" si="12"/>
        <v>16793.262545454545</v>
      </c>
      <c r="R19" s="36">
        <f t="shared" si="6"/>
        <v>16445</v>
      </c>
      <c r="S19" s="36">
        <f t="shared" si="13"/>
        <v>20566</v>
      </c>
      <c r="T19" s="36">
        <f t="shared" si="7"/>
        <v>12857</v>
      </c>
      <c r="U19" s="36">
        <f t="shared" si="14"/>
        <v>15015</v>
      </c>
      <c r="V19" s="37">
        <f t="shared" si="15"/>
        <v>17842.841454545454</v>
      </c>
      <c r="W19" s="37">
        <f t="shared" si="8"/>
        <v>21629.853225000006</v>
      </c>
      <c r="X19" s="37">
        <f t="shared" si="16"/>
        <v>20999.857500000006</v>
      </c>
      <c r="Y19" s="18">
        <f t="shared" si="17"/>
        <v>21629.853225000006</v>
      </c>
      <c r="Z19" s="18">
        <f t="shared" si="18"/>
        <v>20999.857500000006</v>
      </c>
      <c r="AA19" s="18">
        <f t="shared" si="19"/>
        <v>20999.857500000006</v>
      </c>
      <c r="AB19" s="18">
        <f t="shared" si="20"/>
        <v>20999.857500000006</v>
      </c>
      <c r="AC19" s="20"/>
      <c r="AD19" s="20"/>
    </row>
    <row r="20" spans="1:30" x14ac:dyDescent="0.25">
      <c r="A20" t="s">
        <v>45</v>
      </c>
      <c r="B20" s="13" t="s">
        <v>70</v>
      </c>
      <c r="C20" s="13">
        <v>16</v>
      </c>
      <c r="D20" s="34">
        <v>14223.35</v>
      </c>
      <c r="E20" s="18">
        <f t="shared" si="9"/>
        <v>24000</v>
      </c>
      <c r="F20" s="19">
        <f t="shared" si="22"/>
        <v>11378.68</v>
      </c>
      <c r="G20" s="19">
        <f t="shared" si="21"/>
        <v>25312</v>
      </c>
      <c r="H20" s="18">
        <v>24023.268124999999</v>
      </c>
      <c r="I20" s="20">
        <f t="shared" si="0"/>
        <v>19632</v>
      </c>
      <c r="J20" s="36">
        <f t="shared" si="1"/>
        <v>13600</v>
      </c>
      <c r="K20" s="36">
        <f t="shared" si="2"/>
        <v>12656</v>
      </c>
      <c r="L20" s="36">
        <f t="shared" si="10"/>
        <v>19360</v>
      </c>
      <c r="M20" s="36">
        <f t="shared" si="11"/>
        <v>16368</v>
      </c>
      <c r="N20" s="36">
        <f t="shared" si="3"/>
        <v>13280</v>
      </c>
      <c r="O20" s="36">
        <f t="shared" si="4"/>
        <v>20784</v>
      </c>
      <c r="P20" s="36">
        <f t="shared" si="5"/>
        <v>16000</v>
      </c>
      <c r="Q20" s="37">
        <f t="shared" si="12"/>
        <v>11378.68</v>
      </c>
      <c r="R20" s="36">
        <f t="shared" si="6"/>
        <v>20240</v>
      </c>
      <c r="S20" s="36">
        <f t="shared" si="13"/>
        <v>25312</v>
      </c>
      <c r="T20" s="36">
        <f t="shared" si="7"/>
        <v>15824</v>
      </c>
      <c r="U20" s="36">
        <f t="shared" si="14"/>
        <v>18480</v>
      </c>
      <c r="V20" s="37">
        <f t="shared" si="15"/>
        <v>12089.8475</v>
      </c>
      <c r="W20" s="37">
        <f t="shared" si="8"/>
        <v>24743.966168750001</v>
      </c>
      <c r="X20" s="37">
        <f t="shared" si="16"/>
        <v>24023.268124999999</v>
      </c>
      <c r="Y20" s="18">
        <f t="shared" si="17"/>
        <v>24743.966168750001</v>
      </c>
      <c r="Z20" s="18">
        <f t="shared" si="18"/>
        <v>24023.268124999999</v>
      </c>
      <c r="AA20" s="18">
        <f t="shared" si="19"/>
        <v>24023.268124999999</v>
      </c>
      <c r="AB20" s="18">
        <f t="shared" si="20"/>
        <v>24023.268124999999</v>
      </c>
      <c r="AC20" s="20"/>
      <c r="AD20" s="20"/>
    </row>
    <row r="21" spans="1:30" x14ac:dyDescent="0.25">
      <c r="A21" t="s">
        <v>46</v>
      </c>
      <c r="B21" s="13" t="s">
        <v>71</v>
      </c>
      <c r="C21" s="13">
        <v>13</v>
      </c>
      <c r="D21" s="21" t="s">
        <v>84</v>
      </c>
      <c r="E21" s="18">
        <f t="shared" si="9"/>
        <v>19500</v>
      </c>
      <c r="F21" s="19">
        <f t="shared" si="22"/>
        <v>10283</v>
      </c>
      <c r="G21" s="19">
        <f t="shared" si="21"/>
        <v>22392.565006249999</v>
      </c>
      <c r="H21" s="18">
        <v>21740.354374999999</v>
      </c>
      <c r="I21" s="20">
        <f t="shared" si="0"/>
        <v>15951</v>
      </c>
      <c r="J21" s="36">
        <f t="shared" si="1"/>
        <v>11050</v>
      </c>
      <c r="K21" s="36">
        <f t="shared" si="2"/>
        <v>10283</v>
      </c>
      <c r="L21" s="36">
        <f t="shared" si="10"/>
        <v>15730</v>
      </c>
      <c r="M21" s="36">
        <f t="shared" si="11"/>
        <v>13299</v>
      </c>
      <c r="N21" s="36">
        <f t="shared" si="3"/>
        <v>10790</v>
      </c>
      <c r="O21" s="36">
        <f t="shared" si="4"/>
        <v>16887</v>
      </c>
      <c r="P21" s="36">
        <f t="shared" si="5"/>
        <v>13000</v>
      </c>
      <c r="Q21" s="38" t="s">
        <v>84</v>
      </c>
      <c r="R21" s="36">
        <f t="shared" si="6"/>
        <v>16445</v>
      </c>
      <c r="S21" s="36">
        <f t="shared" si="13"/>
        <v>20566</v>
      </c>
      <c r="T21" s="36">
        <f t="shared" si="7"/>
        <v>12857</v>
      </c>
      <c r="U21" s="36">
        <f t="shared" si="14"/>
        <v>15015</v>
      </c>
      <c r="V21" s="38" t="s">
        <v>84</v>
      </c>
      <c r="W21" s="37">
        <f t="shared" si="8"/>
        <v>22392.565006249999</v>
      </c>
      <c r="X21" s="37">
        <f t="shared" si="16"/>
        <v>21740.354374999999</v>
      </c>
      <c r="Y21" s="18">
        <f t="shared" si="17"/>
        <v>22392.565006249999</v>
      </c>
      <c r="Z21" s="18">
        <f t="shared" si="18"/>
        <v>21740.354374999999</v>
      </c>
      <c r="AA21" s="18">
        <f t="shared" si="19"/>
        <v>21740.354374999999</v>
      </c>
      <c r="AB21" s="18">
        <f t="shared" si="20"/>
        <v>21740.354374999999</v>
      </c>
      <c r="AC21" s="20"/>
      <c r="AD21" s="20"/>
    </row>
    <row r="22" spans="1:30" x14ac:dyDescent="0.25">
      <c r="A22" t="s">
        <v>47</v>
      </c>
      <c r="B22" s="13" t="s">
        <v>72</v>
      </c>
      <c r="C22" s="13">
        <v>15</v>
      </c>
      <c r="D22" s="21" t="s">
        <v>84</v>
      </c>
      <c r="E22" s="18">
        <f t="shared" si="9"/>
        <v>22500</v>
      </c>
      <c r="F22" s="19">
        <f t="shared" si="22"/>
        <v>11865</v>
      </c>
      <c r="G22" s="19">
        <f t="shared" si="21"/>
        <v>26714.434319999993</v>
      </c>
      <c r="H22" s="18">
        <v>25936.343999999994</v>
      </c>
      <c r="I22" s="20">
        <f t="shared" si="0"/>
        <v>18405</v>
      </c>
      <c r="J22" s="36">
        <f t="shared" si="1"/>
        <v>12750</v>
      </c>
      <c r="K22" s="36">
        <f t="shared" si="2"/>
        <v>11865</v>
      </c>
      <c r="L22" s="36">
        <f t="shared" si="10"/>
        <v>18150</v>
      </c>
      <c r="M22" s="36">
        <f t="shared" si="11"/>
        <v>15345</v>
      </c>
      <c r="N22" s="36">
        <f t="shared" si="3"/>
        <v>12450</v>
      </c>
      <c r="O22" s="36">
        <f t="shared" si="4"/>
        <v>19485</v>
      </c>
      <c r="P22" s="36">
        <f t="shared" si="5"/>
        <v>15000</v>
      </c>
      <c r="Q22" s="38" t="s">
        <v>84</v>
      </c>
      <c r="R22" s="36">
        <f t="shared" si="6"/>
        <v>18975</v>
      </c>
      <c r="S22" s="36">
        <f t="shared" si="13"/>
        <v>23730</v>
      </c>
      <c r="T22" s="36">
        <f t="shared" si="7"/>
        <v>14835</v>
      </c>
      <c r="U22" s="36">
        <f t="shared" si="14"/>
        <v>17325</v>
      </c>
      <c r="V22" s="38" t="s">
        <v>84</v>
      </c>
      <c r="W22" s="37">
        <f t="shared" si="8"/>
        <v>26714.434319999993</v>
      </c>
      <c r="X22" s="37">
        <f t="shared" si="16"/>
        <v>25936.343999999994</v>
      </c>
      <c r="Y22" s="18">
        <f t="shared" si="17"/>
        <v>26714.434319999993</v>
      </c>
      <c r="Z22" s="18">
        <f t="shared" si="18"/>
        <v>25936.343999999994</v>
      </c>
      <c r="AA22" s="18">
        <f t="shared" si="19"/>
        <v>25936.343999999994</v>
      </c>
      <c r="AB22" s="18">
        <f t="shared" si="20"/>
        <v>25936.343999999994</v>
      </c>
      <c r="AC22" s="20"/>
      <c r="AD22" s="20"/>
    </row>
    <row r="23" spans="1:30" x14ac:dyDescent="0.25">
      <c r="A23" t="s">
        <v>48</v>
      </c>
      <c r="B23" s="13" t="s">
        <v>73</v>
      </c>
      <c r="C23" s="13">
        <v>18</v>
      </c>
      <c r="D23" s="34">
        <v>25828.756666666664</v>
      </c>
      <c r="E23" s="18">
        <f t="shared" si="9"/>
        <v>27000</v>
      </c>
      <c r="F23" s="19">
        <f t="shared" si="22"/>
        <v>14238</v>
      </c>
      <c r="G23" s="19">
        <f t="shared" si="21"/>
        <v>29483.553870833337</v>
      </c>
      <c r="H23" s="18">
        <v>28624.809583333335</v>
      </c>
      <c r="I23" s="20">
        <f t="shared" si="0"/>
        <v>22086</v>
      </c>
      <c r="J23" s="36">
        <f t="shared" si="1"/>
        <v>15300</v>
      </c>
      <c r="K23" s="36">
        <f t="shared" si="2"/>
        <v>14238</v>
      </c>
      <c r="L23" s="36">
        <f t="shared" si="10"/>
        <v>21780</v>
      </c>
      <c r="M23" s="36">
        <f t="shared" si="11"/>
        <v>18414</v>
      </c>
      <c r="N23" s="36">
        <f t="shared" si="3"/>
        <v>14940</v>
      </c>
      <c r="O23" s="36">
        <f t="shared" si="4"/>
        <v>23382</v>
      </c>
      <c r="P23" s="36">
        <f t="shared" si="5"/>
        <v>18000</v>
      </c>
      <c r="Q23" s="37">
        <f t="shared" si="12"/>
        <v>20663.005333333334</v>
      </c>
      <c r="R23" s="36">
        <f t="shared" si="6"/>
        <v>22770</v>
      </c>
      <c r="S23" s="36">
        <f t="shared" si="13"/>
        <v>28476</v>
      </c>
      <c r="T23" s="36">
        <f t="shared" si="7"/>
        <v>17802</v>
      </c>
      <c r="U23" s="36">
        <f t="shared" si="14"/>
        <v>20790</v>
      </c>
      <c r="V23" s="37">
        <f t="shared" si="15"/>
        <v>21954.443166666664</v>
      </c>
      <c r="W23" s="37">
        <f t="shared" si="8"/>
        <v>29483.553870833337</v>
      </c>
      <c r="X23" s="37">
        <f t="shared" si="16"/>
        <v>28624.809583333335</v>
      </c>
      <c r="Y23" s="18">
        <f t="shared" si="17"/>
        <v>29483.553870833337</v>
      </c>
      <c r="Z23" s="18">
        <f t="shared" si="18"/>
        <v>28624.809583333335</v>
      </c>
      <c r="AA23" s="18">
        <f t="shared" si="19"/>
        <v>28624.809583333335</v>
      </c>
      <c r="AB23" s="18">
        <f t="shared" si="20"/>
        <v>28624.809583333335</v>
      </c>
      <c r="AC23" s="20"/>
      <c r="AD23" s="20"/>
    </row>
    <row r="24" spans="1:30" x14ac:dyDescent="0.25">
      <c r="A24" t="s">
        <v>49</v>
      </c>
      <c r="B24" s="13" t="s">
        <v>74</v>
      </c>
      <c r="C24" s="13">
        <v>17</v>
      </c>
      <c r="D24" s="21" t="s">
        <v>84</v>
      </c>
      <c r="E24" s="18">
        <f t="shared" si="9"/>
        <v>25500</v>
      </c>
      <c r="F24" s="19">
        <f t="shared" si="22"/>
        <v>13447</v>
      </c>
      <c r="G24" s="19">
        <f t="shared" si="21"/>
        <v>32642.806993750004</v>
      </c>
      <c r="H24" s="18">
        <v>31692.045625000002</v>
      </c>
      <c r="I24" s="20">
        <f t="shared" si="0"/>
        <v>20859</v>
      </c>
      <c r="J24" s="36">
        <f t="shared" si="1"/>
        <v>14450</v>
      </c>
      <c r="K24" s="36">
        <f t="shared" si="2"/>
        <v>13447</v>
      </c>
      <c r="L24" s="36">
        <f t="shared" si="10"/>
        <v>20570</v>
      </c>
      <c r="M24" s="36">
        <f t="shared" si="11"/>
        <v>17391</v>
      </c>
      <c r="N24" s="36">
        <f t="shared" si="3"/>
        <v>14110</v>
      </c>
      <c r="O24" s="36">
        <f t="shared" si="4"/>
        <v>22083</v>
      </c>
      <c r="P24" s="36">
        <f t="shared" si="5"/>
        <v>17000</v>
      </c>
      <c r="Q24" s="38" t="s">
        <v>84</v>
      </c>
      <c r="R24" s="36">
        <f t="shared" si="6"/>
        <v>21505</v>
      </c>
      <c r="S24" s="36">
        <f t="shared" si="13"/>
        <v>26894</v>
      </c>
      <c r="T24" s="36">
        <f t="shared" si="7"/>
        <v>16813</v>
      </c>
      <c r="U24" s="36">
        <f t="shared" si="14"/>
        <v>19635</v>
      </c>
      <c r="V24" s="38" t="s">
        <v>84</v>
      </c>
      <c r="W24" s="37">
        <f t="shared" si="8"/>
        <v>32642.806993750004</v>
      </c>
      <c r="X24" s="37">
        <f t="shared" si="16"/>
        <v>31692.045625000002</v>
      </c>
      <c r="Y24" s="18">
        <f t="shared" si="17"/>
        <v>32642.806993750004</v>
      </c>
      <c r="Z24" s="18">
        <f t="shared" si="18"/>
        <v>31692.045625000002</v>
      </c>
      <c r="AA24" s="18">
        <f t="shared" si="19"/>
        <v>31692.045625000002</v>
      </c>
      <c r="AB24" s="18">
        <f t="shared" si="20"/>
        <v>31692.045625000002</v>
      </c>
      <c r="AC24" s="20"/>
      <c r="AD24" s="20"/>
    </row>
    <row r="25" spans="1:30" x14ac:dyDescent="0.25">
      <c r="A25" t="s">
        <v>82</v>
      </c>
      <c r="B25" s="13" t="s">
        <v>83</v>
      </c>
      <c r="C25" s="13">
        <v>14</v>
      </c>
      <c r="D25" s="17">
        <v>23179.786969696972</v>
      </c>
      <c r="E25" s="18">
        <f t="shared" si="9"/>
        <v>21000</v>
      </c>
      <c r="F25" s="19">
        <f t="shared" si="22"/>
        <v>11074</v>
      </c>
      <c r="G25" s="19">
        <f t="shared" si="21"/>
        <v>24530.789515000004</v>
      </c>
      <c r="H25" s="18">
        <v>23816.300500000005</v>
      </c>
      <c r="I25" s="20">
        <f t="shared" si="0"/>
        <v>17178</v>
      </c>
      <c r="J25" s="36">
        <f t="shared" si="1"/>
        <v>11900</v>
      </c>
      <c r="K25" s="36">
        <f t="shared" si="2"/>
        <v>11074</v>
      </c>
      <c r="L25" s="36">
        <f t="shared" si="10"/>
        <v>16940</v>
      </c>
      <c r="M25" s="36">
        <f t="shared" si="11"/>
        <v>14322</v>
      </c>
      <c r="N25" s="36">
        <f t="shared" si="3"/>
        <v>11620</v>
      </c>
      <c r="O25" s="36">
        <f t="shared" si="4"/>
        <v>18186</v>
      </c>
      <c r="P25" s="36">
        <f t="shared" si="5"/>
        <v>14000</v>
      </c>
      <c r="Q25" s="37">
        <f t="shared" si="12"/>
        <v>18543.82957575758</v>
      </c>
      <c r="R25" s="36">
        <f t="shared" si="6"/>
        <v>17710</v>
      </c>
      <c r="S25" s="36">
        <f t="shared" si="13"/>
        <v>22148</v>
      </c>
      <c r="T25" s="36">
        <f t="shared" si="7"/>
        <v>13846</v>
      </c>
      <c r="U25" s="36">
        <f t="shared" si="14"/>
        <v>16170</v>
      </c>
      <c r="V25" s="37">
        <f t="shared" si="15"/>
        <v>19702.818924242427</v>
      </c>
      <c r="W25" s="37">
        <f t="shared" si="8"/>
        <v>24530.789515000004</v>
      </c>
      <c r="X25" s="37">
        <f t="shared" si="16"/>
        <v>23816.300500000005</v>
      </c>
      <c r="Y25" s="18">
        <f t="shared" si="17"/>
        <v>24530.789515000004</v>
      </c>
      <c r="Z25" s="18">
        <f t="shared" si="18"/>
        <v>23816.300500000005</v>
      </c>
      <c r="AA25" s="18">
        <f t="shared" si="19"/>
        <v>23816.300500000005</v>
      </c>
      <c r="AB25" s="18">
        <f t="shared" si="20"/>
        <v>23816.300500000005</v>
      </c>
      <c r="AC25" s="20"/>
      <c r="AD25" s="20"/>
    </row>
    <row r="26" spans="1:30" ht="30" x14ac:dyDescent="0.25">
      <c r="A26" t="s">
        <v>75</v>
      </c>
      <c r="B26" s="29" t="s">
        <v>85</v>
      </c>
      <c r="C26" s="13">
        <v>17</v>
      </c>
      <c r="D26" s="21" t="s">
        <v>84</v>
      </c>
      <c r="E26" s="18">
        <f t="shared" si="9"/>
        <v>25500</v>
      </c>
      <c r="F26" s="19">
        <f t="shared" si="22"/>
        <v>13447</v>
      </c>
      <c r="G26" s="19">
        <f t="shared" si="21"/>
        <v>26894</v>
      </c>
      <c r="H26" s="18">
        <v>24679.294615384613</v>
      </c>
      <c r="I26" s="20">
        <f t="shared" si="0"/>
        <v>20859</v>
      </c>
      <c r="J26" s="36">
        <f t="shared" si="1"/>
        <v>14450</v>
      </c>
      <c r="K26" s="36">
        <f t="shared" si="2"/>
        <v>13447</v>
      </c>
      <c r="L26" s="36">
        <f t="shared" si="10"/>
        <v>20570</v>
      </c>
      <c r="M26" s="36">
        <f t="shared" si="11"/>
        <v>17391</v>
      </c>
      <c r="N26" s="36">
        <f t="shared" si="3"/>
        <v>14110</v>
      </c>
      <c r="O26" s="36">
        <f t="shared" si="4"/>
        <v>22083</v>
      </c>
      <c r="P26" s="36">
        <f t="shared" si="5"/>
        <v>17000</v>
      </c>
      <c r="Q26" s="38" t="s">
        <v>84</v>
      </c>
      <c r="R26" s="36">
        <f t="shared" si="6"/>
        <v>21505</v>
      </c>
      <c r="S26" s="36">
        <f t="shared" si="13"/>
        <v>26894</v>
      </c>
      <c r="T26" s="36">
        <f t="shared" si="7"/>
        <v>16813</v>
      </c>
      <c r="U26" s="36">
        <f t="shared" si="14"/>
        <v>19635</v>
      </c>
      <c r="V26" s="38" t="s">
        <v>84</v>
      </c>
      <c r="W26" s="37">
        <f t="shared" si="8"/>
        <v>25419.673453846153</v>
      </c>
      <c r="X26" s="37">
        <f t="shared" si="16"/>
        <v>24679.294615384613</v>
      </c>
      <c r="Y26" s="18">
        <f t="shared" si="17"/>
        <v>25419.673453846153</v>
      </c>
      <c r="Z26" s="18">
        <f t="shared" si="18"/>
        <v>24679.294615384613</v>
      </c>
      <c r="AA26" s="18">
        <f t="shared" si="19"/>
        <v>24679.294615384613</v>
      </c>
      <c r="AB26" s="18">
        <f t="shared" si="20"/>
        <v>24679.294615384613</v>
      </c>
      <c r="AC26" s="20"/>
      <c r="AD26" s="20"/>
    </row>
    <row r="27" spans="1:30" x14ac:dyDescent="0.25">
      <c r="B27" s="2"/>
      <c r="F27" s="14"/>
      <c r="Q27" s="37"/>
      <c r="AA27" s="18">
        <f t="shared" si="19"/>
        <v>0</v>
      </c>
    </row>
    <row r="28" spans="1:30" x14ac:dyDescent="0.25">
      <c r="Q28" s="37"/>
    </row>
    <row r="29" spans="1:30" x14ac:dyDescent="0.25">
      <c r="A29" s="9" t="s">
        <v>50</v>
      </c>
      <c r="B29" t="s">
        <v>51</v>
      </c>
      <c r="H29" s="3"/>
      <c r="I29" s="3"/>
    </row>
    <row r="30" spans="1:30" x14ac:dyDescent="0.25">
      <c r="A30" s="10" t="s">
        <v>52</v>
      </c>
      <c r="B30" s="41" t="s">
        <v>53</v>
      </c>
      <c r="C30" s="41"/>
      <c r="D30" s="41"/>
      <c r="E30" s="41"/>
      <c r="H30" s="3"/>
      <c r="I30" s="3"/>
    </row>
    <row r="31" spans="1:30" x14ac:dyDescent="0.25">
      <c r="A31" s="11" t="s">
        <v>6</v>
      </c>
      <c r="B31" t="s">
        <v>54</v>
      </c>
      <c r="H31" s="3"/>
      <c r="I31" s="3"/>
    </row>
    <row r="32" spans="1:30" x14ac:dyDescent="0.25">
      <c r="A32" s="12" t="s">
        <v>55</v>
      </c>
      <c r="B32" s="41" t="s">
        <v>56</v>
      </c>
      <c r="C32" s="41"/>
      <c r="D32" s="41"/>
      <c r="E32" s="22"/>
      <c r="F32" s="2"/>
      <c r="G32" s="2"/>
      <c r="H32" s="3"/>
      <c r="I32" s="3"/>
    </row>
  </sheetData>
  <mergeCells count="2">
    <mergeCell ref="U2:V2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Bell</dc:creator>
  <cp:lastModifiedBy>Rachel Bell</cp:lastModifiedBy>
  <dcterms:created xsi:type="dcterms:W3CDTF">2021-12-17T19:59:42Z</dcterms:created>
  <dcterms:modified xsi:type="dcterms:W3CDTF">2024-04-01T16:00:10Z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ae118b-0319-4321-928c-8161d52a19c9_Enabled">
    <vt:lpwstr>true</vt:lpwstr>
  </property>
  <property fmtid="{D5CDD505-2E9C-101B-9397-08002B2CF9AE}" pid="3" name="MSIP_Label_03ae118b-0319-4321-928c-8161d52a19c9_SetDate">
    <vt:lpwstr>2024-02-23T15:18:03Z</vt:lpwstr>
  </property>
  <property fmtid="{D5CDD505-2E9C-101B-9397-08002B2CF9AE}" pid="4" name="MSIP_Label_03ae118b-0319-4321-928c-8161d52a19c9_Method">
    <vt:lpwstr>Standard</vt:lpwstr>
  </property>
  <property fmtid="{D5CDD505-2E9C-101B-9397-08002B2CF9AE}" pid="5" name="MSIP_Label_03ae118b-0319-4321-928c-8161d52a19c9_Name">
    <vt:lpwstr>defa4170-0d19-0005-0002-bc88714345d2</vt:lpwstr>
  </property>
  <property fmtid="{D5CDD505-2E9C-101B-9397-08002B2CF9AE}" pid="6" name="MSIP_Label_03ae118b-0319-4321-928c-8161d52a19c9_SiteId">
    <vt:lpwstr>4f397dc5-6c30-4e38-be87-7858384365dd</vt:lpwstr>
  </property>
  <property fmtid="{D5CDD505-2E9C-101B-9397-08002B2CF9AE}" pid="7" name="MSIP_Label_03ae118b-0319-4321-928c-8161d52a19c9_ActionId">
    <vt:lpwstr>674ee3c4-82fd-49e0-98ca-53cb9404a447</vt:lpwstr>
  </property>
  <property fmtid="{D5CDD505-2E9C-101B-9397-08002B2CF9AE}" pid="8" name="MSIP_Label_03ae118b-0319-4321-928c-8161d52a19c9_ContentBits">
    <vt:lpwstr>0</vt:lpwstr>
  </property>
</Properties>
</file>